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payload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H18" i="1"/>
  <c r="F36" i="1" l="1"/>
  <c r="F35" i="1"/>
  <c r="F34" i="1"/>
  <c r="F33" i="1"/>
  <c r="H33" i="1" s="1"/>
  <c r="F32" i="1"/>
  <c r="F31" i="1"/>
  <c r="F30" i="1"/>
  <c r="F29" i="1"/>
  <c r="H29" i="1" s="1"/>
  <c r="F28" i="1"/>
  <c r="F27" i="1"/>
  <c r="F26" i="1"/>
  <c r="F25" i="1"/>
  <c r="H25" i="1" s="1"/>
  <c r="F24" i="1"/>
  <c r="H24" i="1" s="1"/>
  <c r="F23" i="1"/>
  <c r="H23" i="1" s="1"/>
  <c r="F22" i="1"/>
  <c r="F11" i="1" l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H36" i="1" l="1"/>
  <c r="H35" i="1"/>
  <c r="H34" i="1"/>
  <c r="H26" i="1"/>
  <c r="H27" i="1"/>
  <c r="H32" i="1"/>
  <c r="H31" i="1"/>
  <c r="H30" i="1"/>
  <c r="H28" i="1"/>
  <c r="F21" i="1"/>
  <c r="F20" i="1"/>
  <c r="F19" i="1"/>
  <c r="F18" i="1"/>
  <c r="F17" i="1"/>
  <c r="H17" i="1" s="1"/>
  <c r="C12" i="1" l="1"/>
  <c r="C37" i="1" l="1"/>
</calcChain>
</file>

<file path=xl/sharedStrings.xml><?xml version="1.0" encoding="utf-8"?>
<sst xmlns="http://schemas.openxmlformats.org/spreadsheetml/2006/main" count="79" uniqueCount="70">
  <si>
    <t>1.8.0(0000000*kWh)</t>
  </si>
  <si>
    <t>2.8.0(0000000*kWh)</t>
  </si>
  <si>
    <t>1.8.2(0000000*kWh)</t>
  </si>
  <si>
    <t>1.8.3(0000000*kWh)</t>
  </si>
  <si>
    <t>31.7.0(000.0*A)</t>
  </si>
  <si>
    <t>51.7.0(000.0*A)</t>
  </si>
  <si>
    <t>71.7.0(000.0*A)</t>
  </si>
  <si>
    <t>32.7.0(229*V)</t>
  </si>
  <si>
    <t>52.7.0(000*V)</t>
  </si>
  <si>
    <t>72.7.0(000*V)</t>
  </si>
  <si>
    <t>1.7.0(00.00*kW)</t>
  </si>
  <si>
    <t>21.7.0(00.00*kW)</t>
  </si>
  <si>
    <t>41.7.0(00.00*kW)</t>
  </si>
  <si>
    <t>61.7.0(00.00*kW)</t>
  </si>
  <si>
    <t>2.7.0(00.00*kW)</t>
  </si>
  <si>
    <t>22.7.0(00.00*kW)</t>
  </si>
  <si>
    <t>42.7.0(00.00*kW)</t>
  </si>
  <si>
    <t>62.7.0(00.00*kW)</t>
  </si>
  <si>
    <t>TOTAL</t>
  </si>
  <si>
    <t>Alarm</t>
  </si>
  <si>
    <t>bytes</t>
  </si>
  <si>
    <t>data bits type</t>
    <phoneticPr fontId="3" type="noConversion"/>
  </si>
  <si>
    <t>+A</t>
    <phoneticPr fontId="3" type="noConversion"/>
  </si>
  <si>
    <t>L1</t>
    <phoneticPr fontId="3" type="noConversion"/>
  </si>
  <si>
    <t>L2</t>
    <phoneticPr fontId="3" type="noConversion"/>
  </si>
  <si>
    <t>L3</t>
    <phoneticPr fontId="3" type="noConversion"/>
  </si>
  <si>
    <t>U1</t>
    <phoneticPr fontId="3" type="noConversion"/>
  </si>
  <si>
    <t>U2</t>
    <phoneticPr fontId="3" type="noConversion"/>
  </si>
  <si>
    <t>U3</t>
    <phoneticPr fontId="3" type="noConversion"/>
  </si>
  <si>
    <t>+P</t>
    <phoneticPr fontId="3" type="noConversion"/>
  </si>
  <si>
    <t>+P1</t>
    <phoneticPr fontId="3" type="noConversion"/>
  </si>
  <si>
    <t>+P2</t>
    <phoneticPr fontId="3" type="noConversion"/>
  </si>
  <si>
    <t>+P3</t>
    <phoneticPr fontId="3" type="noConversion"/>
  </si>
  <si>
    <t>-P</t>
    <phoneticPr fontId="3" type="noConversion"/>
  </si>
  <si>
    <t>-P1</t>
    <phoneticPr fontId="3" type="noConversion"/>
  </si>
  <si>
    <t>-P2</t>
    <phoneticPr fontId="3" type="noConversion"/>
  </si>
  <si>
    <t>-P3</t>
    <phoneticPr fontId="3" type="noConversion"/>
  </si>
  <si>
    <t>DATA</t>
  </si>
  <si>
    <t>1.8.9(0000000*kWh)</t>
  </si>
  <si>
    <t>0x01</t>
  </si>
  <si>
    <t>0x02</t>
  </si>
  <si>
    <t>0x04</t>
  </si>
  <si>
    <t>0x10</t>
  </si>
  <si>
    <t>0x20</t>
  </si>
  <si>
    <t>0x80</t>
  </si>
  <si>
    <t>80010200000003000000040000000500000006</t>
  </si>
  <si>
    <t>Napadení</t>
  </si>
  <si>
    <t>napadení - magnet</t>
  </si>
  <si>
    <t>napadení - dodávka (-A)</t>
  </si>
  <si>
    <t>napadení - otevření krytu svorkovnice</t>
  </si>
  <si>
    <t>napadení - otevření krytu elektroměru</t>
  </si>
  <si>
    <t>energie za působení magnetu</t>
  </si>
  <si>
    <t>energie v tarifu T3</t>
  </si>
  <si>
    <t>energie v tarifu T2</t>
  </si>
  <si>
    <t>energie dodávka (-A)</t>
  </si>
  <si>
    <t>F.F(00000000)</t>
  </si>
  <si>
    <t>F.F.1(00011110)</t>
  </si>
  <si>
    <t>C.13.2(00000003)</t>
  </si>
  <si>
    <t>C.13.12(00000008)</t>
  </si>
  <si>
    <t>C.13.22(00000002)</t>
  </si>
  <si>
    <t>C.13.32(00000001)</t>
  </si>
  <si>
    <t>násobitel</t>
  </si>
  <si>
    <t>Hodnota</t>
  </si>
  <si>
    <t>Maska</t>
  </si>
  <si>
    <t>Popis</t>
  </si>
  <si>
    <t>konfigurace</t>
  </si>
  <si>
    <t>Registry</t>
  </si>
  <si>
    <t>payload</t>
  </si>
  <si>
    <t>Chyba přístroje</t>
  </si>
  <si>
    <t>370054c20000000000000054c2000000000000000061000000005981000e00000000001c0000000000000000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</si>
</sst>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3"/>
      <charset val="134"/>
      <scheme val="minor"/>
    </font>
    <font>
      <sz val="10"/>
      <color theme="1"/>
      <name val="Courier New"/>
      <family val="3"/>
      <charset val="238"/>
    </font>
    <font>
      <b/>
      <sz val="10"/>
      <color rgb="FFC7254E"/>
      <name val="Courier New"/>
      <family val="3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quotePrefix="1" applyFill="1"/>
    <xf numFmtId="0" fontId="4" fillId="0" borderId="2" xfId="0" applyFont="1" applyFill="1" applyBorder="1" applyAlignment="1">
      <alignment horizontal="left"/>
    </xf>
    <xf numFmtId="0" fontId="0" fillId="0" borderId="3" xfId="0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0" xfId="0" quotePrefix="1" applyFill="1" applyAlignment="1"/>
    <xf numFmtId="0" fontId="5" fillId="0" borderId="0" xfId="0" applyFont="1" applyFill="1"/>
    <xf numFmtId="0" fontId="0" fillId="0" borderId="1" xfId="0" applyFill="1" applyBorder="1"/>
    <xf numFmtId="0" fontId="0" fillId="0" borderId="2" xfId="0" applyFill="1" applyBorder="1"/>
    <xf numFmtId="49" fontId="0" fillId="0" borderId="2" xfId="0" applyNumberFormat="1" applyFill="1" applyBorder="1"/>
    <xf numFmtId="0" fontId="0" fillId="0" borderId="4" xfId="0" applyFill="1" applyBorder="1"/>
    <xf numFmtId="0" fontId="0" fillId="0" borderId="0" xfId="0" applyFill="1" applyBorder="1"/>
    <xf numFmtId="49" fontId="0" fillId="0" borderId="0" xfId="0" applyNumberFormat="1" applyFill="1" applyBorder="1"/>
    <xf numFmtId="0" fontId="0" fillId="0" borderId="6" xfId="0" applyFill="1" applyBorder="1"/>
    <xf numFmtId="0" fontId="0" fillId="0" borderId="7" xfId="0" applyFill="1" applyBorder="1"/>
    <xf numFmtId="49" fontId="0" fillId="0" borderId="7" xfId="0" applyNumberFormat="1" applyFill="1" applyBorder="1"/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5" fillId="0" borderId="0" xfId="0" quotePrefix="1" applyFont="1"/>
    <xf numFmtId="0" fontId="6" fillId="0" borderId="0" xfId="0" applyFont="1" applyFill="1"/>
    <xf numFmtId="0" fontId="0" fillId="0" borderId="0" xfId="0" applyFill="1" applyAlignment="1">
      <alignment wrapText="1"/>
    </xf>
    <xf numFmtId="0" fontId="7" fillId="0" borderId="6" xfId="0" applyFont="1" applyFill="1" applyBorder="1"/>
    <xf numFmtId="0" fontId="7" fillId="0" borderId="7" xfId="0" applyFont="1" applyFill="1" applyBorder="1"/>
    <xf numFmtId="49" fontId="7" fillId="0" borderId="7" xfId="0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11" xfId="0" applyFont="1" applyFill="1" applyBorder="1"/>
    <xf numFmtId="0" fontId="0" fillId="0" borderId="12" xfId="0" applyFill="1" applyBorder="1"/>
    <xf numFmtId="0" fontId="4" fillId="0" borderId="12" xfId="0" applyFont="1" applyFill="1" applyBorder="1" applyAlignment="1">
      <alignment horizontal="left"/>
    </xf>
    <xf numFmtId="0" fontId="0" fillId="0" borderId="13" xfId="0" applyFill="1" applyBorder="1"/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1" fillId="0" borderId="0" xfId="0" quotePrefix="1" applyFont="1"/>
    <xf numFmtId="49" fontId="0" fillId="2" borderId="2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80" zoomScaleNormal="80" workbookViewId="0">
      <selection activeCell="G19" sqref="G19"/>
    </sheetView>
  </sheetViews>
  <sheetFormatPr defaultColWidth="8.85546875" defaultRowHeight="15"/>
  <cols>
    <col min="1" max="1" width="8.85546875" style="1"/>
    <col min="2" max="2" width="18.28515625" style="1" bestFit="1" customWidth="1"/>
    <col min="3" max="3" width="5.7109375" style="1" bestFit="1" customWidth="1"/>
    <col min="4" max="4" width="34.5703125" style="1" bestFit="1" customWidth="1"/>
    <col min="5" max="5" width="7.7109375" style="1" bestFit="1" customWidth="1"/>
    <col min="6" max="6" width="12" style="1" customWidth="1"/>
    <col min="7" max="7" width="9" style="1" bestFit="1" customWidth="1"/>
    <col min="8" max="8" width="7.7109375" style="1" bestFit="1" customWidth="1"/>
    <col min="9" max="9" width="2" style="1" bestFit="1" customWidth="1"/>
    <col min="10" max="10" width="23.85546875" style="1" bestFit="1" customWidth="1"/>
    <col min="11" max="11" width="30.7109375" style="1" bestFit="1" customWidth="1"/>
    <col min="12" max="13" width="8.85546875" style="1"/>
    <col min="14" max="14" width="23.7109375" style="1" bestFit="1" customWidth="1"/>
    <col min="15" max="17" width="18.5703125" style="1" customWidth="1"/>
    <col min="18" max="16384" width="8.85546875" style="1"/>
  </cols>
  <sheetData>
    <row r="2" spans="2:15">
      <c r="E2" s="36" t="s">
        <v>67</v>
      </c>
      <c r="F2" s="23" t="s">
        <v>45</v>
      </c>
      <c r="G2" s="23"/>
      <c r="N2" s="25"/>
      <c r="O2" s="25"/>
    </row>
    <row r="3" spans="2:15">
      <c r="F3" s="23"/>
      <c r="G3" s="23"/>
      <c r="N3" s="25"/>
      <c r="O3" s="25"/>
    </row>
    <row r="4" spans="2:15" s="29" customFormat="1" ht="15.75" thickBot="1">
      <c r="B4" s="2" t="s">
        <v>19</v>
      </c>
      <c r="C4" s="29" t="s">
        <v>20</v>
      </c>
      <c r="D4" s="29" t="s">
        <v>64</v>
      </c>
      <c r="E4" s="29" t="s">
        <v>63</v>
      </c>
      <c r="F4" s="37" t="s">
        <v>62</v>
      </c>
      <c r="G4" s="37" t="s">
        <v>61</v>
      </c>
      <c r="N4" s="30"/>
      <c r="O4" s="30"/>
    </row>
    <row r="5" spans="2:15" ht="15.75" thickBot="1">
      <c r="B5" s="31" t="s">
        <v>65</v>
      </c>
      <c r="C5" s="32">
        <v>1</v>
      </c>
      <c r="D5" s="32" t="s">
        <v>21</v>
      </c>
      <c r="E5" s="35" t="s">
        <v>44</v>
      </c>
      <c r="F5" s="33" t="str">
        <f>MID($F$2,1,2)</f>
        <v>80</v>
      </c>
      <c r="G5" s="33">
        <v>1</v>
      </c>
      <c r="H5" s="34">
        <f>HEX2DEC(F5)</f>
        <v>128</v>
      </c>
    </row>
    <row r="6" spans="2:15">
      <c r="B6" s="13" t="s">
        <v>55</v>
      </c>
      <c r="C6" s="14">
        <v>1</v>
      </c>
      <c r="D6" s="6" t="s">
        <v>68</v>
      </c>
      <c r="E6" s="43" t="s">
        <v>44</v>
      </c>
      <c r="F6" s="21" t="str">
        <f>MID($F$2,3,2)</f>
        <v>01</v>
      </c>
      <c r="G6" s="19">
        <v>1</v>
      </c>
      <c r="H6" s="6">
        <f t="shared" ref="H6:H11" si="0">HEX2DEC(F6)</f>
        <v>1</v>
      </c>
    </row>
    <row r="7" spans="2:15">
      <c r="B7" s="13" t="s">
        <v>56</v>
      </c>
      <c r="C7" s="14">
        <v>1</v>
      </c>
      <c r="D7" s="6" t="s">
        <v>46</v>
      </c>
      <c r="E7" s="44"/>
      <c r="F7" s="21" t="str">
        <f>MID($F$2,5,2)</f>
        <v>02</v>
      </c>
      <c r="G7" s="19">
        <v>1</v>
      </c>
      <c r="H7" s="6">
        <f t="shared" si="0"/>
        <v>2</v>
      </c>
    </row>
    <row r="8" spans="2:15">
      <c r="B8" s="13" t="s">
        <v>57</v>
      </c>
      <c r="C8" s="14">
        <v>4</v>
      </c>
      <c r="D8" s="6" t="s">
        <v>50</v>
      </c>
      <c r="E8" s="44"/>
      <c r="F8" s="21" t="str">
        <f>MID($F$2,7,8)</f>
        <v>00000003</v>
      </c>
      <c r="G8" s="19">
        <v>1</v>
      </c>
      <c r="H8" s="6">
        <f t="shared" si="0"/>
        <v>3</v>
      </c>
      <c r="K8" s="24"/>
    </row>
    <row r="9" spans="2:15">
      <c r="B9" s="13" t="s">
        <v>58</v>
      </c>
      <c r="C9" s="14">
        <v>4</v>
      </c>
      <c r="D9" s="6" t="s">
        <v>49</v>
      </c>
      <c r="E9" s="44"/>
      <c r="F9" s="21" t="str">
        <f>MID($F$2,15,8)</f>
        <v>00000004</v>
      </c>
      <c r="G9" s="19">
        <v>1</v>
      </c>
      <c r="H9" s="6">
        <f t="shared" si="0"/>
        <v>4</v>
      </c>
      <c r="K9" s="24"/>
    </row>
    <row r="10" spans="2:15">
      <c r="B10" s="13" t="s">
        <v>59</v>
      </c>
      <c r="C10" s="14">
        <v>4</v>
      </c>
      <c r="D10" s="6" t="s">
        <v>47</v>
      </c>
      <c r="E10" s="44"/>
      <c r="F10" s="21" t="str">
        <f>MID($F$2,23,8)</f>
        <v>00000005</v>
      </c>
      <c r="G10" s="19">
        <v>1</v>
      </c>
      <c r="H10" s="6">
        <f t="shared" si="0"/>
        <v>5</v>
      </c>
      <c r="K10" s="24"/>
    </row>
    <row r="11" spans="2:15" ht="15.75" thickBot="1">
      <c r="B11" s="16" t="s">
        <v>60</v>
      </c>
      <c r="C11" s="17">
        <v>4</v>
      </c>
      <c r="D11" s="7" t="s">
        <v>48</v>
      </c>
      <c r="E11" s="45"/>
      <c r="F11" s="22" t="str">
        <f>MID($F$2,31,8)</f>
        <v>00000006</v>
      </c>
      <c r="G11" s="20">
        <v>1</v>
      </c>
      <c r="H11" s="7">
        <f t="shared" si="0"/>
        <v>6</v>
      </c>
      <c r="K11" s="24"/>
    </row>
    <row r="12" spans="2:15">
      <c r="B12" s="1" t="s">
        <v>18</v>
      </c>
      <c r="C12" s="2">
        <f>SUM(C5:C11)</f>
        <v>19</v>
      </c>
    </row>
    <row r="13" spans="2:15">
      <c r="C13" s="2"/>
    </row>
    <row r="14" spans="2:15">
      <c r="E14" s="36" t="s">
        <v>67</v>
      </c>
      <c r="F14" s="9" t="s">
        <v>69</v>
      </c>
      <c r="G14" s="9"/>
    </row>
    <row r="15" spans="2:15">
      <c r="B15" s="2"/>
      <c r="F15" s="9"/>
      <c r="G15" s="9"/>
    </row>
    <row r="16" spans="2:15" s="29" customFormat="1" ht="15.75" thickBot="1">
      <c r="B16" s="2" t="s">
        <v>66</v>
      </c>
      <c r="C16" s="29" t="s">
        <v>20</v>
      </c>
      <c r="D16" s="29" t="s">
        <v>37</v>
      </c>
      <c r="E16" s="29" t="s">
        <v>63</v>
      </c>
      <c r="F16" s="29" t="s">
        <v>62</v>
      </c>
      <c r="G16" s="29" t="s">
        <v>61</v>
      </c>
    </row>
    <row r="17" spans="2:8" ht="15.75" thickBot="1">
      <c r="B17" s="31" t="s">
        <v>65</v>
      </c>
      <c r="C17" s="32">
        <v>1</v>
      </c>
      <c r="D17" s="32" t="s">
        <v>21</v>
      </c>
      <c r="E17" s="32"/>
      <c r="F17" s="33" t="str">
        <f>MID($F$14,1,2)</f>
        <v>37</v>
      </c>
      <c r="G17" s="33"/>
      <c r="H17" s="34">
        <f>HEX2DEC(F17)</f>
        <v>55</v>
      </c>
    </row>
    <row r="18" spans="2:8">
      <c r="B18" s="13" t="s">
        <v>0</v>
      </c>
      <c r="C18" s="14">
        <v>3</v>
      </c>
      <c r="D18" s="15" t="s">
        <v>22</v>
      </c>
      <c r="E18" s="41" t="s">
        <v>39</v>
      </c>
      <c r="F18" s="19" t="str">
        <f>MID($F$14,3,6)</f>
        <v>0054c2</v>
      </c>
      <c r="G18" s="19">
        <v>10</v>
      </c>
      <c r="H18" s="6">
        <f>HEX2DEC(F18)*G18</f>
        <v>216980</v>
      </c>
    </row>
    <row r="19" spans="2:8">
      <c r="B19" s="13" t="s">
        <v>1</v>
      </c>
      <c r="C19" s="14">
        <v>3</v>
      </c>
      <c r="D19" s="15" t="s">
        <v>54</v>
      </c>
      <c r="E19" s="42"/>
      <c r="F19" s="19" t="str">
        <f>MID($F$14,9,6)</f>
        <v>000000</v>
      </c>
      <c r="G19" s="19">
        <v>10</v>
      </c>
      <c r="H19" s="6">
        <f t="shared" ref="H19:H22" si="1">HEX2DEC(F19)*G19</f>
        <v>0</v>
      </c>
    </row>
    <row r="20" spans="2:8">
      <c r="B20" s="13" t="s">
        <v>2</v>
      </c>
      <c r="C20" s="14">
        <v>3</v>
      </c>
      <c r="D20" s="15" t="s">
        <v>53</v>
      </c>
      <c r="E20" s="42"/>
      <c r="F20" s="19" t="str">
        <f>MID($F$14,15,6)</f>
        <v>000000</v>
      </c>
      <c r="G20" s="19">
        <v>10</v>
      </c>
      <c r="H20" s="6">
        <f t="shared" si="1"/>
        <v>0</v>
      </c>
    </row>
    <row r="21" spans="2:8">
      <c r="B21" s="13" t="s">
        <v>3</v>
      </c>
      <c r="C21" s="14">
        <v>3</v>
      </c>
      <c r="D21" s="15" t="s">
        <v>52</v>
      </c>
      <c r="E21" s="42"/>
      <c r="F21" s="19" t="str">
        <f>MID($F$14,21,6)</f>
        <v>0054c2</v>
      </c>
      <c r="G21" s="19">
        <v>10</v>
      </c>
      <c r="H21" s="6">
        <f t="shared" si="1"/>
        <v>216980</v>
      </c>
    </row>
    <row r="22" spans="2:8" ht="15.75" thickBot="1">
      <c r="B22" s="26" t="s">
        <v>38</v>
      </c>
      <c r="C22" s="27">
        <v>3</v>
      </c>
      <c r="D22" s="28" t="s">
        <v>51</v>
      </c>
      <c r="E22" s="40"/>
      <c r="F22" s="20" t="str">
        <f>MID($F$14,27,6)</f>
        <v>000000</v>
      </c>
      <c r="G22" s="20">
        <v>10</v>
      </c>
      <c r="H22" s="6">
        <f t="shared" si="1"/>
        <v>0</v>
      </c>
    </row>
    <row r="23" spans="2:8">
      <c r="B23" s="13" t="s">
        <v>4</v>
      </c>
      <c r="C23" s="14">
        <v>2</v>
      </c>
      <c r="D23" s="15" t="s">
        <v>23</v>
      </c>
      <c r="E23" s="41" t="s">
        <v>40</v>
      </c>
      <c r="F23" s="19" t="str">
        <f>MID($F$14,33,4)</f>
        <v>0000</v>
      </c>
      <c r="G23" s="19">
        <v>2</v>
      </c>
      <c r="H23" s="6">
        <f>2*HEX2DEC(F23)/1000</f>
        <v>0</v>
      </c>
    </row>
    <row r="24" spans="2:8">
      <c r="B24" s="13" t="s">
        <v>5</v>
      </c>
      <c r="C24" s="14">
        <v>2</v>
      </c>
      <c r="D24" s="15" t="s">
        <v>24</v>
      </c>
      <c r="E24" s="39"/>
      <c r="F24" s="19" t="str">
        <f>MID($F$14,37,4)</f>
        <v>0000</v>
      </c>
      <c r="G24" s="19">
        <v>2</v>
      </c>
      <c r="H24" s="6">
        <f>2*HEX2DEC(F24)/1000</f>
        <v>0</v>
      </c>
    </row>
    <row r="25" spans="2:8" ht="15.75" thickBot="1">
      <c r="B25" s="16" t="s">
        <v>6</v>
      </c>
      <c r="C25" s="17">
        <v>2</v>
      </c>
      <c r="D25" s="18" t="s">
        <v>25</v>
      </c>
      <c r="E25" s="40"/>
      <c r="F25" s="20" t="str">
        <f>MID($F$14,41,4)</f>
        <v>0061</v>
      </c>
      <c r="G25" s="20">
        <v>2</v>
      </c>
      <c r="H25" s="7">
        <f>2*HEX2DEC(F25)/1000</f>
        <v>0.19400000000000001</v>
      </c>
    </row>
    <row r="26" spans="2:8">
      <c r="B26" s="10" t="s">
        <v>7</v>
      </c>
      <c r="C26" s="11">
        <v>2</v>
      </c>
      <c r="D26" s="12" t="s">
        <v>26</v>
      </c>
      <c r="E26" s="38" t="s">
        <v>41</v>
      </c>
      <c r="F26" s="4" t="str">
        <f>MID($F$14,45,4)</f>
        <v>0000</v>
      </c>
      <c r="G26" s="4">
        <v>1</v>
      </c>
      <c r="H26" s="5">
        <f>HEX2DEC(F26)/100</f>
        <v>0</v>
      </c>
    </row>
    <row r="27" spans="2:8">
      <c r="B27" s="13" t="s">
        <v>8</v>
      </c>
      <c r="C27" s="14">
        <v>2</v>
      </c>
      <c r="D27" s="15" t="s">
        <v>27</v>
      </c>
      <c r="E27" s="39"/>
      <c r="F27" s="19" t="str">
        <f>MID($F$14,49,4)</f>
        <v>0000</v>
      </c>
      <c r="G27" s="19">
        <v>1</v>
      </c>
      <c r="H27" s="6">
        <f>HEX2DEC(F27)/100</f>
        <v>0</v>
      </c>
    </row>
    <row r="28" spans="2:8" ht="15.75" thickBot="1">
      <c r="B28" s="16" t="s">
        <v>9</v>
      </c>
      <c r="C28" s="17">
        <v>2</v>
      </c>
      <c r="D28" s="18" t="s">
        <v>28</v>
      </c>
      <c r="E28" s="40"/>
      <c r="F28" s="20" t="str">
        <f>MID($F$14,53,4)</f>
        <v>5981</v>
      </c>
      <c r="G28" s="20">
        <v>1</v>
      </c>
      <c r="H28" s="7">
        <f>HEX2DEC(F28)/100</f>
        <v>229.13</v>
      </c>
    </row>
    <row r="29" spans="2:8">
      <c r="B29" s="10" t="s">
        <v>10</v>
      </c>
      <c r="C29" s="11">
        <v>2</v>
      </c>
      <c r="D29" s="12" t="s">
        <v>29</v>
      </c>
      <c r="E29" s="38" t="s">
        <v>42</v>
      </c>
      <c r="F29" s="4" t="str">
        <f>MID($F$14,57,4)</f>
        <v>000e</v>
      </c>
      <c r="G29" s="4">
        <v>2</v>
      </c>
      <c r="H29" s="5">
        <f>2*HEX2DEC(F29)</f>
        <v>28</v>
      </c>
    </row>
    <row r="30" spans="2:8">
      <c r="B30" s="13" t="s">
        <v>11</v>
      </c>
      <c r="C30" s="14">
        <v>2</v>
      </c>
      <c r="D30" s="15" t="s">
        <v>30</v>
      </c>
      <c r="E30" s="39"/>
      <c r="F30" s="19" t="str">
        <f>MID($F$14,61,4)</f>
        <v>0000</v>
      </c>
      <c r="G30" s="19">
        <v>1</v>
      </c>
      <c r="H30" s="6">
        <f t="shared" ref="H18:H36" si="2">HEX2DEC(F30)</f>
        <v>0</v>
      </c>
    </row>
    <row r="31" spans="2:8">
      <c r="B31" s="13" t="s">
        <v>12</v>
      </c>
      <c r="C31" s="14">
        <v>2</v>
      </c>
      <c r="D31" s="15" t="s">
        <v>31</v>
      </c>
      <c r="E31" s="39"/>
      <c r="F31" s="19" t="str">
        <f>MID($F$14,65,4)</f>
        <v>0000</v>
      </c>
      <c r="G31" s="19">
        <v>1</v>
      </c>
      <c r="H31" s="6">
        <f t="shared" si="2"/>
        <v>0</v>
      </c>
    </row>
    <row r="32" spans="2:8" ht="15.75" thickBot="1">
      <c r="B32" s="16" t="s">
        <v>13</v>
      </c>
      <c r="C32" s="17">
        <v>2</v>
      </c>
      <c r="D32" s="18" t="s">
        <v>32</v>
      </c>
      <c r="E32" s="40"/>
      <c r="F32" s="20" t="str">
        <f>MID($F$14,69,4)</f>
        <v>001c</v>
      </c>
      <c r="G32" s="20">
        <v>1</v>
      </c>
      <c r="H32" s="7">
        <f t="shared" si="2"/>
        <v>28</v>
      </c>
    </row>
    <row r="33" spans="2:8">
      <c r="B33" s="10" t="s">
        <v>14</v>
      </c>
      <c r="C33" s="11">
        <v>2</v>
      </c>
      <c r="D33" s="12" t="s">
        <v>33</v>
      </c>
      <c r="E33" s="38" t="s">
        <v>43</v>
      </c>
      <c r="F33" s="4" t="str">
        <f>MID($F$14,73,4)</f>
        <v>0000</v>
      </c>
      <c r="G33" s="4">
        <v>2</v>
      </c>
      <c r="H33" s="5">
        <f>2*HEX2DEC(F33)</f>
        <v>0</v>
      </c>
    </row>
    <row r="34" spans="2:8">
      <c r="B34" s="13" t="s">
        <v>15</v>
      </c>
      <c r="C34" s="14">
        <v>2</v>
      </c>
      <c r="D34" s="15" t="s">
        <v>34</v>
      </c>
      <c r="E34" s="39"/>
      <c r="F34" s="19" t="str">
        <f>MID($F$14,77,4)</f>
        <v>0000</v>
      </c>
      <c r="G34" s="19">
        <v>1</v>
      </c>
      <c r="H34" s="6">
        <f t="shared" si="2"/>
        <v>0</v>
      </c>
    </row>
    <row r="35" spans="2:8">
      <c r="B35" s="13" t="s">
        <v>16</v>
      </c>
      <c r="C35" s="14">
        <v>2</v>
      </c>
      <c r="D35" s="15" t="s">
        <v>35</v>
      </c>
      <c r="E35" s="39"/>
      <c r="F35" s="19" t="str">
        <f>MID($F$14,81,4)</f>
        <v>0000</v>
      </c>
      <c r="G35" s="19">
        <v>1</v>
      </c>
      <c r="H35" s="6">
        <f t="shared" si="2"/>
        <v>0</v>
      </c>
    </row>
    <row r="36" spans="2:8" ht="15.75" thickBot="1">
      <c r="B36" s="16" t="s">
        <v>17</v>
      </c>
      <c r="C36" s="17">
        <v>2</v>
      </c>
      <c r="D36" s="18" t="s">
        <v>36</v>
      </c>
      <c r="E36" s="40"/>
      <c r="F36" s="20" t="str">
        <f>MID($F$14,85,4)</f>
        <v>0000</v>
      </c>
      <c r="G36" s="20">
        <v>1</v>
      </c>
      <c r="H36" s="7">
        <f t="shared" si="2"/>
        <v>0</v>
      </c>
    </row>
    <row r="37" spans="2:8">
      <c r="B37" s="1" t="s">
        <v>18</v>
      </c>
      <c r="C37" s="2">
        <f>SUM(C17:C36)</f>
        <v>44</v>
      </c>
    </row>
    <row r="39" spans="2:8">
      <c r="B39" s="3"/>
      <c r="C39" s="2"/>
    </row>
    <row r="40" spans="2:8">
      <c r="B40" s="8"/>
    </row>
    <row r="41" spans="2:8">
      <c r="B41" s="3"/>
    </row>
  </sheetData>
  <mergeCells count="6">
    <mergeCell ref="E6:E11"/>
    <mergeCell ref="E33:E36"/>
    <mergeCell ref="E18:E22"/>
    <mergeCell ref="E23:E25"/>
    <mergeCell ref="E26:E28"/>
    <mergeCell ref="E29:E32"/>
  </mergeCells>
  <phoneticPr fontId="3" type="noConversion"/>
  <pageMargins left="0.7" right="0.7" top="0.75" bottom="0.75" header="0.3" footer="0.3"/>
  <pageSetup paperSize="9" scale="88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payload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2018-09-03T08:38:27Z</dcterms:modified>
</cp:coreProperties>
</file>